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spit curenta" sheetId="48" r:id="rId1"/>
  </sheets>
  <calcPr calcId="124519"/>
</workbook>
</file>

<file path=xl/calcChain.xml><?xml version="1.0" encoding="utf-8"?>
<calcChain xmlns="http://schemas.openxmlformats.org/spreadsheetml/2006/main">
  <c r="G31" i="48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64"/>
  <c r="G63"/>
  <c r="G62"/>
  <c r="G61"/>
  <c r="G60"/>
  <c r="G59"/>
  <c r="G58"/>
  <c r="G57"/>
  <c r="G56"/>
  <c r="G55"/>
  <c r="G54"/>
  <c r="G53"/>
  <c r="G52"/>
  <c r="G51"/>
  <c r="G103"/>
  <c r="G102"/>
  <c r="G101"/>
  <c r="G100"/>
  <c r="G99"/>
  <c r="G98"/>
  <c r="G97"/>
  <c r="G96"/>
  <c r="G95"/>
  <c r="G94"/>
  <c r="G93"/>
  <c r="G92"/>
  <c r="G91"/>
  <c r="G90"/>
  <c r="F103" l="1"/>
  <c r="F102"/>
  <c r="F101"/>
  <c r="F100"/>
  <c r="F99"/>
  <c r="F98"/>
  <c r="F97"/>
  <c r="F96"/>
  <c r="F95"/>
  <c r="F94"/>
  <c r="F93"/>
  <c r="F92"/>
  <c r="F91"/>
  <c r="F90"/>
  <c r="F63"/>
  <c r="F56"/>
  <c r="F30"/>
  <c r="F29"/>
  <c r="F23"/>
  <c r="F22"/>
  <c r="F21"/>
  <c r="F19"/>
  <c r="F10"/>
  <c r="F8"/>
  <c r="F6"/>
  <c r="F5"/>
  <c r="E30" l="1"/>
  <c r="E103"/>
  <c r="E102"/>
  <c r="E101"/>
  <c r="E100"/>
  <c r="E99"/>
  <c r="E98"/>
  <c r="E97"/>
  <c r="E96"/>
  <c r="E95"/>
  <c r="E94"/>
  <c r="H94" s="1"/>
  <c r="E93"/>
  <c r="H93" s="1"/>
  <c r="E92"/>
  <c r="H92" s="1"/>
  <c r="E91"/>
  <c r="E90"/>
  <c r="E64"/>
  <c r="E63"/>
  <c r="H63" s="1"/>
  <c r="E62"/>
  <c r="E61"/>
  <c r="E60"/>
  <c r="E59"/>
  <c r="E58"/>
  <c r="E57"/>
  <c r="E56"/>
  <c r="H56" s="1"/>
  <c r="E55"/>
  <c r="H55" s="1"/>
  <c r="E54"/>
  <c r="E53"/>
  <c r="E52"/>
  <c r="E51"/>
  <c r="H31"/>
  <c r="E29"/>
  <c r="E28"/>
  <c r="E27"/>
  <c r="E26"/>
  <c r="E25"/>
  <c r="E24"/>
  <c r="E23"/>
  <c r="E22"/>
  <c r="E21"/>
  <c r="E20"/>
  <c r="E19"/>
  <c r="E15"/>
  <c r="E14"/>
  <c r="E13"/>
  <c r="E12"/>
  <c r="E11"/>
  <c r="E10"/>
  <c r="E9"/>
  <c r="E8"/>
  <c r="E7"/>
  <c r="E6"/>
  <c r="E5"/>
  <c r="H90"/>
  <c r="H91"/>
  <c r="H95"/>
  <c r="H96"/>
  <c r="H97"/>
  <c r="H98"/>
  <c r="H99"/>
  <c r="H100"/>
  <c r="H101"/>
  <c r="H102"/>
  <c r="H103"/>
  <c r="H72"/>
  <c r="H73"/>
  <c r="H74"/>
  <c r="H75"/>
  <c r="H76"/>
  <c r="H77"/>
  <c r="H78"/>
  <c r="H79"/>
  <c r="H80"/>
  <c r="H81"/>
  <c r="H82"/>
  <c r="H51"/>
  <c r="H52"/>
  <c r="H53"/>
  <c r="H54"/>
  <c r="H57"/>
  <c r="H58"/>
  <c r="H59"/>
  <c r="H60"/>
  <c r="H61"/>
  <c r="H62"/>
  <c r="H64"/>
  <c r="H38"/>
  <c r="H39"/>
  <c r="H40"/>
  <c r="H41"/>
  <c r="H42"/>
  <c r="H43"/>
  <c r="H7"/>
  <c r="H9"/>
  <c r="H14"/>
  <c r="H15"/>
  <c r="H16"/>
  <c r="H18"/>
  <c r="D30"/>
  <c r="D29"/>
  <c r="H29" s="1"/>
  <c r="D28"/>
  <c r="H28" s="1"/>
  <c r="D27"/>
  <c r="H27" s="1"/>
  <c r="D26"/>
  <c r="H26" s="1"/>
  <c r="D25"/>
  <c r="H25" s="1"/>
  <c r="D24"/>
  <c r="H24" s="1"/>
  <c r="D23"/>
  <c r="H23" s="1"/>
  <c r="D22"/>
  <c r="H22" s="1"/>
  <c r="D21"/>
  <c r="H21" s="1"/>
  <c r="D20"/>
  <c r="H20" s="1"/>
  <c r="D19"/>
  <c r="H19" s="1"/>
  <c r="D17"/>
  <c r="H17" s="1"/>
  <c r="D15"/>
  <c r="D13"/>
  <c r="H13" s="1"/>
  <c r="D12"/>
  <c r="H12" s="1"/>
  <c r="D11"/>
  <c r="H11" s="1"/>
  <c r="D10"/>
  <c r="H10" s="1"/>
  <c r="D8"/>
  <c r="H8" s="1"/>
  <c r="D6"/>
  <c r="H6" s="1"/>
  <c r="D5"/>
  <c r="H5" s="1"/>
  <c r="H30" l="1"/>
</calcChain>
</file>

<file path=xl/sharedStrings.xml><?xml version="1.0" encoding="utf-8"?>
<sst xmlns="http://schemas.openxmlformats.org/spreadsheetml/2006/main" count="117" uniqueCount="42">
  <si>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</si>
  <si>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</si>
  <si>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</si>
  <si>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</si>
  <si>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</si>
  <si>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</si>
  <si>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</si>
  <si>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</si>
  <si>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</si>
  <si>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</si>
  <si>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ONCOCENTER-ONCOLOGIE CLINICA SRL</t>
  </si>
  <si>
    <t>R.T.C. RADIOLOGY THERAPEUTIC CENTER SRL- PUNCT DE LUCRU DUMBRAVITA</t>
  </si>
  <si>
    <t>ASOCIATIA ONCOHELP TIMISOARA</t>
  </si>
  <si>
    <t>SPITALUL CLINIC JUDETEAN DE URGENTA  Pius Brînzeu  TIMISOARA</t>
  </si>
  <si>
    <t xml:space="preserve">CENTRUL MED.DE EVALUARE,TERAPIE,EDUC.MED. SPECIFICA SI RECUP. PTR. COPII SI TINERI  CRISTIAN SERBAN </t>
  </si>
  <si>
    <t>SPITALUL CLINIC DE BOLI INFECTIOASE SI PNEUMOFTIZIOLOGIE DR.V.BABES TIMISOARA</t>
  </si>
  <si>
    <t>SPITALUL CLINIC CF TIMISOARA</t>
  </si>
  <si>
    <t>SPITALUL DR. KARL DIEL - JIMBOLIA</t>
  </si>
  <si>
    <t>SC M-PROFILAXIS SRL</t>
  </si>
  <si>
    <t>INSTITUTUL DE BOLI CARDIOVASCULARE TIMISOARA</t>
  </si>
  <si>
    <t>SC MATERNA CARE SRL</t>
  </si>
  <si>
    <t>SPITALUL MUNICIPAL  DR.TEODOR ANDREI  - LUGOJ</t>
  </si>
  <si>
    <t>SPITALUL DE PSIHIATRIE SI PENTRU MASURI DE SIGURANTA JEBEL</t>
  </si>
  <si>
    <t>CENTRUL MED.DE EVALUARE,TERAPIE,EDUC.MED. SPECIFICA SI RECUP. PTR. COPII SI TINERI  CRISTIAN SERBAN BUZIAS</t>
  </si>
  <si>
    <t>SPITAL CLINIC DE URGENTA PENTRU COPII  LOUIS TURCANU  TIMISOARA</t>
  </si>
  <si>
    <t>SPITALUL DE PSIHIATRIE GATAIA</t>
  </si>
  <si>
    <t>SPITALUL ORASENESC DETA</t>
  </si>
  <si>
    <t>SPITALUL ORASENESC FAGET</t>
  </si>
  <si>
    <t>SPITALUL ORASENESC SANNICOLAU MARE</t>
  </si>
  <si>
    <t>CABINET PARTICULAR POLICLINIC ALGOMED SRL</t>
  </si>
  <si>
    <t>CENTRUL MEDICAL SF.STEFAN</t>
  </si>
  <si>
    <t>FEDERATIA CARITAS A DIECEZEI TIMISOARA</t>
  </si>
  <si>
    <t>KARDINAL ONE MEDICAL SRL</t>
  </si>
  <si>
    <t>MED LIFE SA BUCURESTI SUCURSALA TIMISOARA</t>
  </si>
  <si>
    <t>SC CENTRUL MEDICAL SF. MARIA SRL</t>
  </si>
  <si>
    <t>SC POLICLINICA DARIMEDIC SRL</t>
  </si>
  <si>
    <t>PLATI SPITALE GENERALE - ACTIVITATE CURENTA</t>
  </si>
  <si>
    <t>PLATI SPITALE GENERALE - LEGEA NR.109</t>
  </si>
  <si>
    <t>PLATI SPITALE GENERALE - ALOCATIE DE HRANA</t>
  </si>
  <si>
    <t>PLATI SPITALE GENERALE - VOUCHERE DE VACANTA</t>
  </si>
  <si>
    <t>PLATA TRANSFERURI CURENTE DIN BUGETUL FNUASS CATRE UNITATILE SANITARE CU PATURI</t>
  </si>
  <si>
    <t>ROCORDIS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</si>
</sst>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/>
    <xf numFmtId="0" fontId="0" fillId="0" borderId="1" xfId="0" applyBorder="1" applyAlignment="1"/>
    <xf numFmtId="4" fontId="0" fillId="0" borderId="1" xfId="0" applyNumberFormat="1" applyBorder="1" applyAlignment="1">
      <alignment horizontal="right"/>
    </xf>
    <xf numFmtId="4" fontId="0" fillId="0" borderId="1" xfId="1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>
      <selection activeCell="G5" sqref="G5:G31"/>
    </sheetView>
  </sheetViews>
  <sheetFormatPr defaultRowHeight="15"/>
  <cols>
    <col min="1" max="1" width="6.5703125" bestFit="1" customWidth="1"/>
    <col min="2" max="2" width="45.5703125" customWidth="1"/>
    <col min="3" max="3" width="9.42578125" bestFit="1" customWidth="1"/>
    <col min="4" max="4" width="13.8554687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3.85546875" style="2" bestFit="1" customWidth="1"/>
    <col min="9" max="9" width="28.85546875" customWidth="1"/>
    <col min="10" max="11" width="12.7109375" bestFit="1" customWidth="1"/>
  </cols>
  <sheetData>
    <row r="1" spans="1:8">
      <c r="B1" t="s">
        <v>36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17802939</v>
      </c>
      <c r="D5" s="13">
        <f>9523450.97+1123362.4+8949130.44+27291.83</f>
        <v>19623235.640000001</v>
      </c>
      <c r="E5" s="10">
        <f>2041.52+2580170.84+9952.25+297393.44</f>
        <v>2889558.05</v>
      </c>
      <c r="F5" s="10">
        <f>2041+2055866.4</f>
        <v>2057907.4</v>
      </c>
      <c r="G5" s="3">
        <f>470309.21+483278.03+1491425.8+452472.92+324</f>
        <v>2897809.96</v>
      </c>
      <c r="H5" s="3">
        <f>SUM(D5:G5)</f>
        <v>27468511.050000001</v>
      </c>
    </row>
    <row r="6" spans="1:8">
      <c r="A6" s="1">
        <v>2</v>
      </c>
      <c r="B6" s="1" t="s">
        <v>29</v>
      </c>
      <c r="C6" s="1">
        <v>6633397</v>
      </c>
      <c r="D6" s="13">
        <f>350459.95</f>
        <v>350459.95</v>
      </c>
      <c r="E6" s="10">
        <f>36330</f>
        <v>36330</v>
      </c>
      <c r="F6" s="10">
        <f>32112.29</f>
        <v>32112.29</v>
      </c>
      <c r="G6" s="3">
        <f>4935.8+5071.91+26647.26+8084.32</f>
        <v>44739.29</v>
      </c>
      <c r="H6" s="3">
        <f t="shared" ref="H6:H31" si="0">SUM(D6:G6)</f>
        <v>463641.52999999997</v>
      </c>
    </row>
    <row r="7" spans="1:8">
      <c r="A7" s="1">
        <v>3</v>
      </c>
      <c r="B7" s="1" t="s">
        <v>30</v>
      </c>
      <c r="C7" s="1">
        <v>22719938</v>
      </c>
      <c r="D7" s="13">
        <v>1085090.8400000001</v>
      </c>
      <c r="E7" s="10">
        <f>113113+1542</f>
        <v>114655</v>
      </c>
      <c r="F7" s="10">
        <v>89565.23</v>
      </c>
      <c r="G7" s="3">
        <f>13766.58+50582.89+14146.19+15345.98</f>
        <v>93841.64</v>
      </c>
      <c r="H7" s="3">
        <f t="shared" si="0"/>
        <v>1383152.71</v>
      </c>
    </row>
    <row r="8" spans="1:8" ht="45">
      <c r="A8" s="1">
        <v>4</v>
      </c>
      <c r="B8" s="8" t="s">
        <v>14</v>
      </c>
      <c r="C8" s="9">
        <v>11302934</v>
      </c>
      <c r="D8" s="14">
        <f>1395850.49+1172655.39</f>
        <v>2568505.88</v>
      </c>
      <c r="E8" s="10">
        <f>313392.71+10965.94</f>
        <v>324358.65000000002</v>
      </c>
      <c r="F8" s="10">
        <f>216368.9</f>
        <v>216368.9</v>
      </c>
      <c r="G8" s="10">
        <f>33256.88+34173.93+173187.65+52542.15</f>
        <v>293160.61</v>
      </c>
      <c r="H8" s="3">
        <f t="shared" si="0"/>
        <v>3402394.0399999996</v>
      </c>
    </row>
    <row r="9" spans="1:8">
      <c r="A9" s="1">
        <v>5</v>
      </c>
      <c r="B9" s="1" t="s">
        <v>31</v>
      </c>
      <c r="C9" s="1">
        <v>5016482</v>
      </c>
      <c r="D9" s="14">
        <v>392471.88</v>
      </c>
      <c r="E9" s="10">
        <f>43692.8+1911.96</f>
        <v>45604.76</v>
      </c>
      <c r="F9" s="10">
        <v>42679.91</v>
      </c>
      <c r="G9" s="3">
        <f>11812.94+30185.96+12138.67+9157.24</f>
        <v>63294.81</v>
      </c>
      <c r="H9" s="3">
        <f t="shared" si="0"/>
        <v>544051.3600000001</v>
      </c>
    </row>
    <row r="10" spans="1:8">
      <c r="A10" s="1">
        <v>6</v>
      </c>
      <c r="B10" s="1" t="s">
        <v>19</v>
      </c>
      <c r="C10" s="9">
        <v>5189211</v>
      </c>
      <c r="D10" s="15">
        <f>22522508.86+1710601.47+141347.76+2615.43</f>
        <v>24377073.52</v>
      </c>
      <c r="E10" s="10">
        <f>142105.07+1541543.42+253751.38</f>
        <v>1937399.87</v>
      </c>
      <c r="F10" s="10">
        <f>2040696.07</f>
        <v>2040696.07</v>
      </c>
      <c r="G10" s="3">
        <f>314749.24+1684274.75+1430336.74+323428.44+510979.97+15692.98</f>
        <v>4279462.12</v>
      </c>
      <c r="H10" s="3">
        <f t="shared" si="0"/>
        <v>32634631.580000002</v>
      </c>
    </row>
    <row r="11" spans="1:8">
      <c r="A11" s="1">
        <v>7</v>
      </c>
      <c r="B11" s="1" t="s">
        <v>32</v>
      </c>
      <c r="C11" s="1">
        <v>39011692</v>
      </c>
      <c r="D11" s="15">
        <f>795749.19+339711.37</f>
        <v>1135460.56</v>
      </c>
      <c r="E11" s="10">
        <f>159617.36+46.61</f>
        <v>159663.96999999997</v>
      </c>
      <c r="F11" s="10">
        <v>122434.85</v>
      </c>
      <c r="G11" s="3">
        <f>18818.79+19337.72+86762.33+26322.2</f>
        <v>151241.04</v>
      </c>
      <c r="H11" s="3">
        <f t="shared" si="0"/>
        <v>1568800.4200000002</v>
      </c>
    </row>
    <row r="12" spans="1:8">
      <c r="A12" s="1">
        <v>8</v>
      </c>
      <c r="B12" s="1" t="s">
        <v>33</v>
      </c>
      <c r="C12" s="1">
        <v>19192454</v>
      </c>
      <c r="D12" s="15">
        <f>1002625.85+1002.32</f>
        <v>1003628.1699999999</v>
      </c>
      <c r="E12" s="10">
        <f>116662</f>
        <v>116662</v>
      </c>
      <c r="F12" s="10">
        <v>99335.38</v>
      </c>
      <c r="G12" s="3">
        <f>15268.3+59114.65+15689.32+17934.37</f>
        <v>108006.63999999998</v>
      </c>
      <c r="H12" s="3">
        <f t="shared" si="0"/>
        <v>1327632.1899999997</v>
      </c>
    </row>
    <row r="13" spans="1:8" ht="30">
      <c r="A13" s="1">
        <v>9</v>
      </c>
      <c r="B13" s="8" t="s">
        <v>11</v>
      </c>
      <c r="C13" s="1">
        <v>27934376</v>
      </c>
      <c r="D13" s="15">
        <f>1806051.26+3914.53</f>
        <v>1809965.79</v>
      </c>
      <c r="E13" s="15">
        <f>2819+249984+51192</f>
        <v>303995</v>
      </c>
      <c r="F13" s="10">
        <v>190529.86</v>
      </c>
      <c r="G13" s="10">
        <f>35357.58+36332.56+134752.55+41881.6</f>
        <v>248324.29</v>
      </c>
      <c r="H13" s="3">
        <f t="shared" si="0"/>
        <v>2552814.94</v>
      </c>
    </row>
    <row r="14" spans="1:8">
      <c r="A14" s="1">
        <v>10</v>
      </c>
      <c r="B14" s="1" t="s">
        <v>10</v>
      </c>
      <c r="C14" s="1">
        <v>33356188</v>
      </c>
      <c r="D14" s="15">
        <v>1105886.1499999999</v>
      </c>
      <c r="E14" s="10">
        <f>1090+127288</f>
        <v>128378</v>
      </c>
      <c r="F14" s="10">
        <v>99220.26</v>
      </c>
      <c r="G14" s="3">
        <f>15250.6+15671.14+72967.24+22137</f>
        <v>126025.98000000001</v>
      </c>
      <c r="H14" s="3">
        <f t="shared" si="0"/>
        <v>1459510.39</v>
      </c>
    </row>
    <row r="15" spans="1:8">
      <c r="A15" s="1">
        <v>11</v>
      </c>
      <c r="B15" s="1" t="s">
        <v>34</v>
      </c>
      <c r="C15" s="1">
        <v>16687408</v>
      </c>
      <c r="D15" s="15">
        <f>99789.51+635848.99</f>
        <v>735638.5</v>
      </c>
      <c r="E15" s="10">
        <f>389+88910.56</f>
        <v>89299.56</v>
      </c>
      <c r="F15" s="10">
        <v>66058.350000000006</v>
      </c>
      <c r="G15" s="3">
        <f>10153.47+31798.47+10433.45+9647.11</f>
        <v>62032.5</v>
      </c>
      <c r="H15" s="3">
        <f t="shared" si="0"/>
        <v>953028.91</v>
      </c>
    </row>
    <row r="16" spans="1:8">
      <c r="A16" s="1">
        <v>12</v>
      </c>
      <c r="B16" s="1" t="s">
        <v>18</v>
      </c>
      <c r="C16" s="1">
        <v>24126902</v>
      </c>
      <c r="D16" s="15">
        <v>593219.15</v>
      </c>
      <c r="E16" s="10">
        <v>75949</v>
      </c>
      <c r="F16" s="10">
        <v>68594.679999999993</v>
      </c>
      <c r="G16" s="3">
        <f>23583.01+24233.31+48498.88+14713.73</f>
        <v>111028.93</v>
      </c>
      <c r="H16" s="3">
        <f t="shared" si="0"/>
        <v>848791.76</v>
      </c>
    </row>
    <row r="17" spans="1:8">
      <c r="A17" s="1">
        <v>13</v>
      </c>
      <c r="B17" s="1" t="s">
        <v>20</v>
      </c>
      <c r="C17" s="1">
        <v>29290603</v>
      </c>
      <c r="D17" s="15">
        <f>7318110.24+385739.79+274686.88</f>
        <v>7978536.9100000001</v>
      </c>
      <c r="E17" s="10">
        <v>1000623.64</v>
      </c>
      <c r="F17" s="10">
        <v>700647.55</v>
      </c>
      <c r="G17" s="3">
        <f>107692.69+647020.98+110662.32+196295.03</f>
        <v>1061671.02</v>
      </c>
      <c r="H17" s="3">
        <f t="shared" si="0"/>
        <v>10741479.120000001</v>
      </c>
    </row>
    <row r="18" spans="1:8">
      <c r="A18" s="1">
        <v>14</v>
      </c>
      <c r="B18" s="1" t="s">
        <v>35</v>
      </c>
      <c r="C18" s="1">
        <v>30492266</v>
      </c>
      <c r="D18" s="15">
        <v>962252.3</v>
      </c>
      <c r="E18" s="10">
        <v>108974</v>
      </c>
      <c r="F18" s="10">
        <v>89058.23</v>
      </c>
      <c r="G18" s="3">
        <f>13688.65+14066.12+70302.51+21328.57</f>
        <v>119385.85</v>
      </c>
      <c r="H18" s="3">
        <f t="shared" si="0"/>
        <v>1279670.3800000001</v>
      </c>
    </row>
    <row r="19" spans="1:8" ht="30">
      <c r="A19" s="1">
        <v>15</v>
      </c>
      <c r="B19" s="8" t="s">
        <v>24</v>
      </c>
      <c r="C19" s="9">
        <v>4548538</v>
      </c>
      <c r="D19" s="15">
        <f>36921934.5+9025830.99+101214.16+89674.85</f>
        <v>46138654.5</v>
      </c>
      <c r="E19" s="10">
        <f>8581.74+3110708.28+1027725.44+415100</f>
        <v>4562115.46</v>
      </c>
      <c r="F19" s="10">
        <f>1638.87+3682996.26</f>
        <v>3684635.13</v>
      </c>
      <c r="G19" s="10">
        <f>566093.15+581703.17+2751888.79+834875.69+2136.05</f>
        <v>4736696.8500000006</v>
      </c>
      <c r="H19" s="3">
        <f t="shared" si="0"/>
        <v>59122101.940000005</v>
      </c>
    </row>
    <row r="20" spans="1:8">
      <c r="A20" s="1">
        <v>16</v>
      </c>
      <c r="B20" s="1" t="s">
        <v>16</v>
      </c>
      <c r="C20" s="9">
        <v>2491516</v>
      </c>
      <c r="D20" s="15">
        <f>9812843.22+232916.94</f>
        <v>10045760.16</v>
      </c>
      <c r="E20" s="10">
        <f>995309.59+16487.1</f>
        <v>1011796.69</v>
      </c>
      <c r="F20" s="10">
        <v>877206.98</v>
      </c>
      <c r="G20" s="3">
        <f>134830.67+138548.63+724835.47+219902.61</f>
        <v>1218117.3799999999</v>
      </c>
      <c r="H20" s="3">
        <f t="shared" si="0"/>
        <v>13152881.210000001</v>
      </c>
    </row>
    <row r="21" spans="1:8" ht="30">
      <c r="A21" s="12">
        <v>17</v>
      </c>
      <c r="B21" s="8" t="s">
        <v>15</v>
      </c>
      <c r="C21" s="9">
        <v>2487647</v>
      </c>
      <c r="D21" s="15">
        <f>15027694.4+2073237.57+4599059.65+5003.68</f>
        <v>21704995.299999997</v>
      </c>
      <c r="E21" s="10">
        <f>15164.17+2508007.41+1316.09</f>
        <v>2524487.67</v>
      </c>
      <c r="F21" s="10">
        <f>1012+1923191.89</f>
        <v>1924203.89</v>
      </c>
      <c r="G21" s="10">
        <f>295603.27+303754.54+1430336.74+433939.55+693</f>
        <v>2464327.1</v>
      </c>
      <c r="H21" s="3">
        <f t="shared" si="0"/>
        <v>28618013.960000001</v>
      </c>
    </row>
    <row r="22" spans="1:8" ht="30">
      <c r="A22" s="1">
        <v>18</v>
      </c>
      <c r="B22" s="8" t="s">
        <v>13</v>
      </c>
      <c r="C22" s="9">
        <v>4663448</v>
      </c>
      <c r="D22" s="15">
        <f>144164100.29+2560492.79+4186636.94+143760.38</f>
        <v>151054990.39999998</v>
      </c>
      <c r="E22" s="10">
        <f>13201.06+9709623.12+1645166.66+1241297+503000+1394.27</f>
        <v>13113682.109999999</v>
      </c>
      <c r="F22" s="10">
        <f>31465.98+4562860+7951424.41-14935.26</f>
        <v>12530815.130000001</v>
      </c>
      <c r="G22" s="10">
        <f>128579.81+1859621.15+1911779.75+10442072+3167944.93+13993.56+100+22069.32</f>
        <v>17546160.52</v>
      </c>
      <c r="H22" s="3">
        <f t="shared" si="0"/>
        <v>194245648.16</v>
      </c>
    </row>
    <row r="23" spans="1:8">
      <c r="A23" s="1">
        <v>19</v>
      </c>
      <c r="B23" s="1" t="s">
        <v>8</v>
      </c>
      <c r="C23" s="9">
        <v>4483447</v>
      </c>
      <c r="D23" s="15">
        <f>73973966.53+8073710+2344102.84+20512.46</f>
        <v>84412291.829999998</v>
      </c>
      <c r="E23" s="10">
        <f>5735.53+5902975.09+590960.55+15282</f>
        <v>6514953.1699999999</v>
      </c>
      <c r="F23" s="10">
        <f>2032.54+7647409.67</f>
        <v>7649442.21</v>
      </c>
      <c r="G23" s="3">
        <f>1211997.35+1245418.21+5555583.27+1685468.35+6307.86</f>
        <v>9704775.0399999991</v>
      </c>
      <c r="H23" s="3">
        <f t="shared" si="0"/>
        <v>108281462.25</v>
      </c>
    </row>
    <row r="24" spans="1:8">
      <c r="A24" s="1">
        <v>20</v>
      </c>
      <c r="B24" s="1" t="s">
        <v>25</v>
      </c>
      <c r="C24" s="9">
        <v>4483811</v>
      </c>
      <c r="D24" s="15">
        <f>2269391.21+13935227.73+7507.08</f>
        <v>16212126.020000001</v>
      </c>
      <c r="E24" s="10">
        <f>1845627.88+2654.22+353138.68</f>
        <v>2201420.7799999998</v>
      </c>
      <c r="F24" s="10">
        <v>1453819.68</v>
      </c>
      <c r="G24" s="3">
        <f>238390.3+244963.91+990596.53+300529.94</f>
        <v>1774480.68</v>
      </c>
      <c r="H24" s="3">
        <f t="shared" si="0"/>
        <v>21641847.16</v>
      </c>
    </row>
    <row r="25" spans="1:8" ht="30">
      <c r="A25" s="1">
        <v>21</v>
      </c>
      <c r="B25" s="8" t="s">
        <v>22</v>
      </c>
      <c r="C25" s="9">
        <v>5189300</v>
      </c>
      <c r="D25" s="15">
        <f>402098.53+17834597.1+7443.96</f>
        <v>18244139.590000004</v>
      </c>
      <c r="E25" s="10">
        <f>2061227.6+80561.8</f>
        <v>2141789.4</v>
      </c>
      <c r="F25" s="10">
        <v>1644472.3</v>
      </c>
      <c r="G25" s="10">
        <f>264405.21+271696.18+1166084.07+353769.84</f>
        <v>2055955.3</v>
      </c>
      <c r="H25" s="3">
        <f t="shared" si="0"/>
        <v>24086356.590000004</v>
      </c>
    </row>
    <row r="26" spans="1:8">
      <c r="A26" s="1">
        <v>22</v>
      </c>
      <c r="B26" s="1" t="s">
        <v>17</v>
      </c>
      <c r="C26" s="9">
        <v>2502771</v>
      </c>
      <c r="D26" s="15">
        <f>4147532.89+1932196.06+446270.92</f>
        <v>6525999.8700000001</v>
      </c>
      <c r="E26" s="10">
        <f>711994.56+28429.64</f>
        <v>740424.20000000007</v>
      </c>
      <c r="F26" s="10">
        <v>581525.34</v>
      </c>
      <c r="G26" s="3">
        <f>96966.7+149624.97+99640.56+417251.19+126586.83+1830.51</f>
        <v>891900.75999999989</v>
      </c>
      <c r="H26" s="3">
        <f t="shared" si="0"/>
        <v>8739850.1699999999</v>
      </c>
    </row>
    <row r="27" spans="1:8">
      <c r="A27" s="1">
        <v>23</v>
      </c>
      <c r="B27" s="1" t="s">
        <v>21</v>
      </c>
      <c r="C27" s="9">
        <v>2501652</v>
      </c>
      <c r="D27" s="15">
        <f>11651029.53+990502.44+484.74+2918.12</f>
        <v>12644934.829999998</v>
      </c>
      <c r="E27" s="10">
        <f>458584.01+45968.14</f>
        <v>504552.15</v>
      </c>
      <c r="F27" s="10">
        <v>947335.71</v>
      </c>
      <c r="G27" s="3">
        <f>761891.54+145609.77+231144.78</f>
        <v>1138646.0900000001</v>
      </c>
      <c r="H27" s="3">
        <f t="shared" si="0"/>
        <v>15235468.779999997</v>
      </c>
    </row>
    <row r="28" spans="1:8">
      <c r="A28" s="1">
        <v>24</v>
      </c>
      <c r="B28" s="1" t="s">
        <v>26</v>
      </c>
      <c r="C28" s="9">
        <v>2503408</v>
      </c>
      <c r="D28" s="15">
        <f>4054147.21+393613.32+766270.62</f>
        <v>5214031.1500000004</v>
      </c>
      <c r="E28" s="10">
        <f>643879.06+6246.38+2706</f>
        <v>652831.44000000006</v>
      </c>
      <c r="F28" s="10">
        <v>486448.26</v>
      </c>
      <c r="G28" s="3">
        <f>74769.2+339779.87+76831.06+103083.36</f>
        <v>594463.49</v>
      </c>
      <c r="H28" s="3">
        <f t="shared" si="0"/>
        <v>6947774.3400000008</v>
      </c>
    </row>
    <row r="29" spans="1:8">
      <c r="A29" s="1">
        <v>25</v>
      </c>
      <c r="B29" s="1" t="s">
        <v>27</v>
      </c>
      <c r="C29" s="9">
        <v>4663456</v>
      </c>
      <c r="D29" s="15">
        <f>4867992.73+157653.6+1942932.15+3926.66</f>
        <v>6972505.1400000006</v>
      </c>
      <c r="E29" s="10">
        <f>4563.86+674521.58</f>
        <v>679085.44</v>
      </c>
      <c r="F29" s="10">
        <f>2573.58+601954.81</f>
        <v>604528.39</v>
      </c>
      <c r="G29" s="3">
        <f>92523.17+456433.45+95074.5+138474.05</f>
        <v>782505.16999999993</v>
      </c>
      <c r="H29" s="3">
        <f t="shared" si="0"/>
        <v>9038624.1400000006</v>
      </c>
    </row>
    <row r="30" spans="1:8">
      <c r="A30" s="1">
        <v>26</v>
      </c>
      <c r="B30" s="1" t="s">
        <v>28</v>
      </c>
      <c r="C30" s="9">
        <v>4483765</v>
      </c>
      <c r="D30" s="15">
        <f>5132903.19+1491704.87+947727.28+264.24</f>
        <v>7572599.580000001</v>
      </c>
      <c r="E30" s="10">
        <f>64429.02+512620.22</f>
        <v>577049.24</v>
      </c>
      <c r="F30" s="10">
        <f>602.94+615609.65</f>
        <v>616212.59</v>
      </c>
      <c r="G30" s="3">
        <f>94461.56+456048.24+97231.18+138357.19</f>
        <v>786098.16999999993</v>
      </c>
      <c r="H30" s="3">
        <f t="shared" si="0"/>
        <v>9551959.5800000019</v>
      </c>
    </row>
    <row r="31" spans="1:8">
      <c r="A31" s="1">
        <v>27</v>
      </c>
      <c r="B31" s="16" t="s">
        <v>41</v>
      </c>
      <c r="C31" s="17">
        <v>25804892</v>
      </c>
      <c r="D31" s="3">
        <v>0</v>
      </c>
      <c r="E31" s="10">
        <v>40854</v>
      </c>
      <c r="F31" s="10">
        <v>32037.08</v>
      </c>
      <c r="G31" s="3">
        <f>4924.25+28317.12+5060.03+8670.69</f>
        <v>46972.09</v>
      </c>
      <c r="H31" s="3">
        <f t="shared" si="0"/>
        <v>119863.17</v>
      </c>
    </row>
    <row r="34" spans="1:8">
      <c r="B34" t="s">
        <v>37</v>
      </c>
    </row>
    <row r="37" spans="1:8" s="6" customFormat="1" ht="30">
      <c r="A37" s="4" t="s">
        <v>0</v>
      </c>
      <c r="B37" s="4" t="s">
        <v>1</v>
      </c>
      <c r="C37" s="4" t="s">
        <v>2</v>
      </c>
      <c r="D37" s="7" t="s">
        <v>3</v>
      </c>
      <c r="E37" s="5" t="s">
        <v>4</v>
      </c>
      <c r="F37" s="5" t="s">
        <v>5</v>
      </c>
      <c r="G37" s="5" t="s">
        <v>6</v>
      </c>
      <c r="H37" s="7" t="s">
        <v>7</v>
      </c>
    </row>
    <row r="38" spans="1:8" ht="30">
      <c r="A38" s="9">
        <v>1</v>
      </c>
      <c r="B38" s="8" t="s">
        <v>19</v>
      </c>
      <c r="C38" s="12">
        <v>5189211</v>
      </c>
      <c r="D38" s="3">
        <v>1197660</v>
      </c>
      <c r="E38" s="3">
        <v>0</v>
      </c>
      <c r="F38" s="10">
        <v>115875</v>
      </c>
      <c r="G38" s="3">
        <v>0</v>
      </c>
      <c r="H38" s="3">
        <f t="shared" ref="H38:H43" si="1">SUM(D38:G38)</f>
        <v>1313535</v>
      </c>
    </row>
    <row r="39" spans="1:8" ht="30">
      <c r="A39" s="9">
        <v>2</v>
      </c>
      <c r="B39" s="8" t="s">
        <v>24</v>
      </c>
      <c r="C39" s="12">
        <v>4548538</v>
      </c>
      <c r="D39" s="3">
        <v>2782651</v>
      </c>
      <c r="E39" s="3">
        <v>0</v>
      </c>
      <c r="F39" s="10">
        <v>251095</v>
      </c>
      <c r="G39" s="3">
        <v>0</v>
      </c>
      <c r="H39" s="3">
        <f t="shared" si="1"/>
        <v>3033746</v>
      </c>
    </row>
    <row r="40" spans="1:8">
      <c r="A40" s="9">
        <v>3</v>
      </c>
      <c r="B40" s="1" t="s">
        <v>16</v>
      </c>
      <c r="C40" s="12">
        <v>2491516</v>
      </c>
      <c r="D40" s="3">
        <v>750779</v>
      </c>
      <c r="E40" s="3">
        <v>0</v>
      </c>
      <c r="F40" s="10">
        <v>65282</v>
      </c>
      <c r="G40" s="3">
        <v>0</v>
      </c>
      <c r="H40" s="3">
        <f t="shared" si="1"/>
        <v>816061</v>
      </c>
    </row>
    <row r="41" spans="1:8" ht="30">
      <c r="A41" s="9">
        <v>4</v>
      </c>
      <c r="B41" s="8" t="s">
        <v>15</v>
      </c>
      <c r="C41" s="12">
        <v>2487647</v>
      </c>
      <c r="D41" s="3">
        <v>899291</v>
      </c>
      <c r="E41" s="3">
        <v>0</v>
      </c>
      <c r="F41" s="10">
        <v>113854</v>
      </c>
      <c r="G41" s="3">
        <v>0</v>
      </c>
      <c r="H41" s="3">
        <f t="shared" si="1"/>
        <v>1013145</v>
      </c>
    </row>
    <row r="42" spans="1:8" ht="30">
      <c r="A42" s="9">
        <v>5</v>
      </c>
      <c r="B42" s="8" t="s">
        <v>13</v>
      </c>
      <c r="C42" s="12">
        <v>4663448</v>
      </c>
      <c r="D42" s="3">
        <v>9356896</v>
      </c>
      <c r="E42" s="3">
        <v>0</v>
      </c>
      <c r="F42" s="10">
        <v>893028</v>
      </c>
      <c r="G42" s="3">
        <v>0</v>
      </c>
      <c r="H42" s="3">
        <f t="shared" si="1"/>
        <v>10249924</v>
      </c>
    </row>
    <row r="43" spans="1:8" ht="30">
      <c r="A43" s="9">
        <v>6</v>
      </c>
      <c r="B43" s="8" t="s">
        <v>8</v>
      </c>
      <c r="C43" s="12">
        <v>4483447</v>
      </c>
      <c r="D43" s="3">
        <v>7259493</v>
      </c>
      <c r="E43" s="3">
        <v>0</v>
      </c>
      <c r="F43" s="10">
        <v>763896</v>
      </c>
      <c r="G43" s="3">
        <v>0</v>
      </c>
      <c r="H43" s="3">
        <f t="shared" si="1"/>
        <v>8023389</v>
      </c>
    </row>
    <row r="47" spans="1:8">
      <c r="B47" t="s">
        <v>38</v>
      </c>
    </row>
    <row r="50" spans="1:9" s="6" customFormat="1" ht="30">
      <c r="A50" s="4" t="s">
        <v>0</v>
      </c>
      <c r="B50" s="4" t="s">
        <v>1</v>
      </c>
      <c r="C50" s="4" t="s">
        <v>2</v>
      </c>
      <c r="D50" s="7" t="s">
        <v>3</v>
      </c>
      <c r="E50" s="5" t="s">
        <v>4</v>
      </c>
      <c r="F50" s="5" t="s">
        <v>5</v>
      </c>
      <c r="G50" s="5" t="s">
        <v>6</v>
      </c>
      <c r="H50" s="7" t="s">
        <v>7</v>
      </c>
    </row>
    <row r="51" spans="1:9" ht="45">
      <c r="A51" s="9">
        <v>1</v>
      </c>
      <c r="B51" s="8" t="s">
        <v>23</v>
      </c>
      <c r="C51" s="9">
        <v>11302934</v>
      </c>
      <c r="D51" s="10">
        <v>280918</v>
      </c>
      <c r="E51" s="10">
        <f>3188+42627</f>
        <v>45815</v>
      </c>
      <c r="F51" s="10">
        <v>53713</v>
      </c>
      <c r="G51" s="10">
        <f>24607</f>
        <v>24607</v>
      </c>
      <c r="H51" s="3">
        <f t="shared" ref="H51:H64" si="2">SUM(D51:G51)</f>
        <v>405053</v>
      </c>
      <c r="I51" s="12"/>
    </row>
    <row r="52" spans="1:9" ht="30">
      <c r="A52" s="9">
        <v>2</v>
      </c>
      <c r="B52" s="8" t="s">
        <v>19</v>
      </c>
      <c r="C52" s="9">
        <v>5189211</v>
      </c>
      <c r="D52" s="10">
        <v>635008</v>
      </c>
      <c r="E52" s="10">
        <f>5650+75530</f>
        <v>81180</v>
      </c>
      <c r="F52" s="10">
        <v>92917</v>
      </c>
      <c r="G52" s="10">
        <f>63613</f>
        <v>63613</v>
      </c>
      <c r="H52" s="3">
        <f t="shared" si="2"/>
        <v>872718</v>
      </c>
      <c r="I52" s="12"/>
    </row>
    <row r="53" spans="1:9" ht="30">
      <c r="A53" s="9">
        <v>3</v>
      </c>
      <c r="B53" s="8" t="s">
        <v>24</v>
      </c>
      <c r="C53" s="9">
        <v>4548538</v>
      </c>
      <c r="D53" s="10">
        <v>1552925</v>
      </c>
      <c r="E53" s="10">
        <f>13712+183309</f>
        <v>197021</v>
      </c>
      <c r="F53" s="10">
        <v>205172</v>
      </c>
      <c r="G53" s="10">
        <f>201663</f>
        <v>201663</v>
      </c>
      <c r="H53" s="3">
        <f t="shared" si="2"/>
        <v>2156781</v>
      </c>
      <c r="I53" s="12"/>
    </row>
    <row r="54" spans="1:9">
      <c r="A54" s="9">
        <v>4</v>
      </c>
      <c r="B54" s="1" t="s">
        <v>16</v>
      </c>
      <c r="C54" s="9">
        <v>2491516</v>
      </c>
      <c r="D54" s="10">
        <v>319517</v>
      </c>
      <c r="E54" s="10">
        <f>2077+27766</f>
        <v>29843</v>
      </c>
      <c r="F54" s="10">
        <v>32648</v>
      </c>
      <c r="G54" s="10">
        <f>34353</f>
        <v>34353</v>
      </c>
      <c r="H54" s="3">
        <f t="shared" si="2"/>
        <v>416361</v>
      </c>
      <c r="I54" s="12"/>
    </row>
    <row r="55" spans="1:9" ht="30">
      <c r="A55" s="9">
        <v>5</v>
      </c>
      <c r="B55" s="8" t="s">
        <v>15</v>
      </c>
      <c r="C55" s="9">
        <v>2487647</v>
      </c>
      <c r="D55" s="10">
        <v>996578</v>
      </c>
      <c r="E55" s="10">
        <f>7071+94536</f>
        <v>101607</v>
      </c>
      <c r="F55" s="10">
        <v>110979</v>
      </c>
      <c r="G55" s="10">
        <f>97427</f>
        <v>97427</v>
      </c>
      <c r="H55" s="3">
        <f t="shared" si="2"/>
        <v>1306591</v>
      </c>
      <c r="I55" s="12"/>
    </row>
    <row r="56" spans="1:9" ht="30">
      <c r="A56" s="9">
        <v>6</v>
      </c>
      <c r="B56" s="8" t="s">
        <v>13</v>
      </c>
      <c r="C56" s="9">
        <v>4663448</v>
      </c>
      <c r="D56" s="10">
        <v>4195807</v>
      </c>
      <c r="E56" s="10">
        <f>36250+484589</f>
        <v>520839</v>
      </c>
      <c r="F56" s="10">
        <f>526448+23826</f>
        <v>550274</v>
      </c>
      <c r="G56" s="10">
        <f>547482+24346</f>
        <v>571828</v>
      </c>
      <c r="H56" s="3">
        <f t="shared" si="2"/>
        <v>5838748</v>
      </c>
      <c r="I56" s="12"/>
    </row>
    <row r="57" spans="1:9" ht="30">
      <c r="A57" s="9">
        <v>7</v>
      </c>
      <c r="B57" s="8" t="s">
        <v>8</v>
      </c>
      <c r="C57" s="9">
        <v>4483447</v>
      </c>
      <c r="D57" s="10">
        <v>2529120</v>
      </c>
      <c r="E57" s="10">
        <f>21344+285336</f>
        <v>306680</v>
      </c>
      <c r="F57" s="10">
        <v>253286</v>
      </c>
      <c r="G57" s="10">
        <f>313467</f>
        <v>313467</v>
      </c>
      <c r="H57" s="3">
        <f t="shared" si="2"/>
        <v>3402553</v>
      </c>
      <c r="I57" s="9"/>
    </row>
    <row r="58" spans="1:9">
      <c r="A58" s="9">
        <v>8</v>
      </c>
      <c r="B58" s="1" t="s">
        <v>25</v>
      </c>
      <c r="C58" s="9">
        <v>4483811</v>
      </c>
      <c r="D58" s="10">
        <v>2037332</v>
      </c>
      <c r="E58" s="10">
        <f>240458+17987</f>
        <v>258445</v>
      </c>
      <c r="F58" s="10">
        <v>261448</v>
      </c>
      <c r="G58" s="10">
        <f>222607</f>
        <v>222607</v>
      </c>
      <c r="H58" s="3">
        <f t="shared" si="2"/>
        <v>2779832</v>
      </c>
      <c r="I58" s="12"/>
    </row>
    <row r="59" spans="1:9" ht="30">
      <c r="A59" s="9">
        <v>9</v>
      </c>
      <c r="B59" s="8" t="s">
        <v>22</v>
      </c>
      <c r="C59" s="9">
        <v>5189300</v>
      </c>
      <c r="D59" s="10">
        <v>2529967</v>
      </c>
      <c r="E59" s="10">
        <f>302376+22619</f>
        <v>324995</v>
      </c>
      <c r="F59" s="10">
        <v>403865</v>
      </c>
      <c r="G59" s="10">
        <f>328856</f>
        <v>328856</v>
      </c>
      <c r="H59" s="3">
        <f t="shared" si="2"/>
        <v>3587683</v>
      </c>
      <c r="I59" s="12"/>
    </row>
    <row r="60" spans="1:9">
      <c r="A60" s="9">
        <v>10</v>
      </c>
      <c r="B60" s="1" t="s">
        <v>17</v>
      </c>
      <c r="C60" s="9">
        <v>2502771</v>
      </c>
      <c r="D60" s="10">
        <v>370381</v>
      </c>
      <c r="E60" s="10">
        <f>38246+2861</f>
        <v>41107</v>
      </c>
      <c r="F60" s="10">
        <v>42449</v>
      </c>
      <c r="G60" s="10">
        <f>42669</f>
        <v>42669</v>
      </c>
      <c r="H60" s="3">
        <f t="shared" si="2"/>
        <v>496606</v>
      </c>
      <c r="I60" s="12"/>
    </row>
    <row r="61" spans="1:9" ht="30">
      <c r="A61" s="9">
        <v>11</v>
      </c>
      <c r="B61" s="8" t="s">
        <v>21</v>
      </c>
      <c r="C61" s="9">
        <v>2501652</v>
      </c>
      <c r="D61" s="10">
        <v>715066</v>
      </c>
      <c r="E61" s="10">
        <f>72889+5453</f>
        <v>78342</v>
      </c>
      <c r="F61" s="10">
        <v>75306</v>
      </c>
      <c r="G61" s="10">
        <f>88286</f>
        <v>88286</v>
      </c>
      <c r="H61" s="3">
        <f t="shared" si="2"/>
        <v>957000</v>
      </c>
      <c r="I61" s="12"/>
    </row>
    <row r="62" spans="1:9">
      <c r="A62" s="9">
        <v>12</v>
      </c>
      <c r="B62" s="1" t="s">
        <v>26</v>
      </c>
      <c r="C62" s="9">
        <v>2503408</v>
      </c>
      <c r="D62" s="10">
        <v>166760</v>
      </c>
      <c r="E62" s="10">
        <f>21779+1629</f>
        <v>23408</v>
      </c>
      <c r="F62" s="10">
        <v>39017</v>
      </c>
      <c r="G62" s="10">
        <f>16500</f>
        <v>16500</v>
      </c>
      <c r="H62" s="3">
        <f t="shared" si="2"/>
        <v>245685</v>
      </c>
      <c r="I62" s="12"/>
    </row>
    <row r="63" spans="1:9">
      <c r="A63" s="9">
        <v>13</v>
      </c>
      <c r="B63" s="1" t="s">
        <v>27</v>
      </c>
      <c r="C63" s="9">
        <v>4663456</v>
      </c>
      <c r="D63" s="10">
        <v>288046</v>
      </c>
      <c r="E63" s="10">
        <f>28994+2169</f>
        <v>31163</v>
      </c>
      <c r="F63" s="10">
        <f>41063-23826</f>
        <v>17237</v>
      </c>
      <c r="G63" s="10">
        <f>18777</f>
        <v>18777</v>
      </c>
      <c r="H63" s="3">
        <f t="shared" si="2"/>
        <v>355223</v>
      </c>
      <c r="I63" s="12"/>
    </row>
    <row r="64" spans="1:9">
      <c r="A64" s="9">
        <v>14</v>
      </c>
      <c r="B64" s="1" t="s">
        <v>28</v>
      </c>
      <c r="C64" s="9">
        <v>4483765</v>
      </c>
      <c r="D64" s="10">
        <v>376244</v>
      </c>
      <c r="E64" s="10">
        <f>44387+3320</f>
        <v>47707</v>
      </c>
      <c r="F64" s="10">
        <v>55968</v>
      </c>
      <c r="G64" s="10">
        <f>31097</f>
        <v>31097</v>
      </c>
      <c r="H64" s="3">
        <f t="shared" si="2"/>
        <v>511016</v>
      </c>
      <c r="I64" s="12"/>
    </row>
    <row r="68" spans="1:10">
      <c r="B68" t="s">
        <v>39</v>
      </c>
    </row>
    <row r="71" spans="1:10" s="6" customFormat="1" ht="30">
      <c r="A71" s="4" t="s">
        <v>0</v>
      </c>
      <c r="B71" s="4" t="s">
        <v>1</v>
      </c>
      <c r="C71" s="4" t="s">
        <v>2</v>
      </c>
      <c r="D71" s="7" t="s">
        <v>3</v>
      </c>
      <c r="E71" s="5" t="s">
        <v>4</v>
      </c>
      <c r="F71" s="5" t="s">
        <v>5</v>
      </c>
      <c r="G71" s="5" t="s">
        <v>6</v>
      </c>
      <c r="H71" s="7" t="s">
        <v>7</v>
      </c>
    </row>
    <row r="72" spans="1:10" ht="45">
      <c r="A72" s="1">
        <v>1</v>
      </c>
      <c r="B72" s="8" t="s">
        <v>14</v>
      </c>
      <c r="C72" s="12">
        <v>11302934</v>
      </c>
      <c r="D72" s="3">
        <v>72150</v>
      </c>
      <c r="E72" s="11">
        <v>0</v>
      </c>
      <c r="F72" s="11">
        <v>0</v>
      </c>
      <c r="G72" s="3">
        <v>0</v>
      </c>
      <c r="H72" s="3">
        <f t="shared" ref="H72:H82" si="3">SUM(D72:G72)</f>
        <v>72150</v>
      </c>
      <c r="I72" s="8"/>
      <c r="J72" s="9"/>
    </row>
    <row r="73" spans="1:10">
      <c r="A73" s="1">
        <v>2</v>
      </c>
      <c r="B73" s="1" t="s">
        <v>19</v>
      </c>
      <c r="C73" s="12">
        <v>5189211</v>
      </c>
      <c r="D73" s="3">
        <v>551000</v>
      </c>
      <c r="E73" s="11">
        <v>-30060</v>
      </c>
      <c r="F73" s="11">
        <v>-1450</v>
      </c>
      <c r="G73" s="10">
        <v>-3750</v>
      </c>
      <c r="H73" s="3">
        <f t="shared" si="3"/>
        <v>515740</v>
      </c>
      <c r="I73" s="1"/>
      <c r="J73" s="9"/>
    </row>
    <row r="74" spans="1:10" ht="30">
      <c r="A74" s="1">
        <v>3</v>
      </c>
      <c r="B74" s="8" t="s">
        <v>9</v>
      </c>
      <c r="C74" s="12">
        <v>4548538</v>
      </c>
      <c r="D74" s="3">
        <v>1024650</v>
      </c>
      <c r="E74" s="11">
        <v>-12800</v>
      </c>
      <c r="F74" s="11">
        <v>0</v>
      </c>
      <c r="G74" s="3">
        <v>0</v>
      </c>
      <c r="H74" s="3">
        <f t="shared" si="3"/>
        <v>1011850</v>
      </c>
      <c r="I74" s="8"/>
      <c r="J74" s="9"/>
    </row>
    <row r="75" spans="1:10" ht="30">
      <c r="A75" s="1">
        <v>4</v>
      </c>
      <c r="B75" s="8" t="s">
        <v>15</v>
      </c>
      <c r="C75" s="12">
        <v>2487647</v>
      </c>
      <c r="D75" s="3">
        <v>530400</v>
      </c>
      <c r="E75" s="11">
        <v>0</v>
      </c>
      <c r="F75" s="11">
        <v>0</v>
      </c>
      <c r="G75" s="3">
        <v>0</v>
      </c>
      <c r="H75" s="3">
        <f t="shared" si="3"/>
        <v>530400</v>
      </c>
      <c r="I75" s="8"/>
      <c r="J75" s="9"/>
    </row>
    <row r="76" spans="1:10" ht="30">
      <c r="A76" s="1">
        <v>5</v>
      </c>
      <c r="B76" s="8" t="s">
        <v>13</v>
      </c>
      <c r="C76" s="12">
        <v>4663448</v>
      </c>
      <c r="D76" s="3">
        <v>3114025</v>
      </c>
      <c r="E76" s="11">
        <v>0</v>
      </c>
      <c r="F76" s="11">
        <v>0</v>
      </c>
      <c r="G76" s="3">
        <v>0</v>
      </c>
      <c r="H76" s="3">
        <f t="shared" si="3"/>
        <v>3114025</v>
      </c>
      <c r="I76" s="8"/>
      <c r="J76" s="9"/>
    </row>
    <row r="77" spans="1:10">
      <c r="A77" s="1">
        <v>6</v>
      </c>
      <c r="B77" s="1" t="s">
        <v>8</v>
      </c>
      <c r="C77" s="12">
        <v>4483447</v>
      </c>
      <c r="D77" s="3">
        <v>2074950</v>
      </c>
      <c r="E77" s="11">
        <v>0</v>
      </c>
      <c r="F77" s="11">
        <v>0</v>
      </c>
      <c r="G77" s="3">
        <v>0</v>
      </c>
      <c r="H77" s="3">
        <f t="shared" si="3"/>
        <v>2074950</v>
      </c>
      <c r="I77" s="1"/>
      <c r="J77" s="9"/>
    </row>
    <row r="78" spans="1:10">
      <c r="A78" s="1">
        <v>7</v>
      </c>
      <c r="B78" s="1" t="s">
        <v>25</v>
      </c>
      <c r="C78" s="12">
        <v>4483811</v>
      </c>
      <c r="D78" s="3">
        <v>14500</v>
      </c>
      <c r="E78" s="11">
        <v>0</v>
      </c>
      <c r="F78" s="11">
        <v>0</v>
      </c>
      <c r="G78" s="3">
        <v>0</v>
      </c>
      <c r="H78" s="3">
        <f t="shared" si="3"/>
        <v>14500</v>
      </c>
      <c r="I78" s="1"/>
      <c r="J78" s="9"/>
    </row>
    <row r="79" spans="1:10">
      <c r="A79" s="1">
        <v>8</v>
      </c>
      <c r="B79" s="1" t="s">
        <v>17</v>
      </c>
      <c r="C79" s="12">
        <v>2502771</v>
      </c>
      <c r="D79" s="3">
        <v>8360</v>
      </c>
      <c r="E79" s="11">
        <v>0</v>
      </c>
      <c r="F79" s="11">
        <v>0</v>
      </c>
      <c r="G79" s="3">
        <v>0</v>
      </c>
      <c r="H79" s="3">
        <f t="shared" si="3"/>
        <v>8360</v>
      </c>
      <c r="I79" s="1"/>
      <c r="J79" s="9"/>
    </row>
    <row r="80" spans="1:10">
      <c r="A80" s="1">
        <v>9</v>
      </c>
      <c r="B80" s="1" t="s">
        <v>21</v>
      </c>
      <c r="C80" s="12">
        <v>2501652</v>
      </c>
      <c r="D80" s="3">
        <v>485100</v>
      </c>
      <c r="E80" s="11">
        <v>0</v>
      </c>
      <c r="F80" s="11">
        <v>0</v>
      </c>
      <c r="G80" s="3">
        <v>0</v>
      </c>
      <c r="H80" s="3">
        <f t="shared" si="3"/>
        <v>485100</v>
      </c>
      <c r="I80" s="1"/>
      <c r="J80" s="9"/>
    </row>
    <row r="81" spans="1:10">
      <c r="A81" s="1">
        <v>10</v>
      </c>
      <c r="B81" s="1" t="s">
        <v>26</v>
      </c>
      <c r="C81" s="12">
        <v>2503408</v>
      </c>
      <c r="D81" s="3">
        <v>136390</v>
      </c>
      <c r="E81" s="11">
        <v>-1030</v>
      </c>
      <c r="F81" s="11">
        <v>0</v>
      </c>
      <c r="G81" s="3">
        <v>0</v>
      </c>
      <c r="H81" s="3">
        <f t="shared" si="3"/>
        <v>135360</v>
      </c>
      <c r="I81" s="1"/>
      <c r="J81" s="9"/>
    </row>
    <row r="82" spans="1:10">
      <c r="A82" s="1">
        <v>11</v>
      </c>
      <c r="B82" s="1" t="s">
        <v>27</v>
      </c>
      <c r="C82" s="12">
        <v>4663456</v>
      </c>
      <c r="D82" s="3">
        <v>7250</v>
      </c>
      <c r="E82" s="11">
        <v>0</v>
      </c>
      <c r="F82" s="11">
        <v>0</v>
      </c>
      <c r="G82" s="3">
        <v>0</v>
      </c>
      <c r="H82" s="3">
        <f t="shared" si="3"/>
        <v>7250</v>
      </c>
      <c r="I82" s="1"/>
      <c r="J82" s="9"/>
    </row>
    <row r="86" spans="1:10">
      <c r="B86" t="s">
        <v>40</v>
      </c>
    </row>
    <row r="89" spans="1:10" s="6" customFormat="1" ht="30">
      <c r="A89" s="4" t="s">
        <v>0</v>
      </c>
      <c r="B89" s="4" t="s">
        <v>1</v>
      </c>
      <c r="C89" s="4" t="s">
        <v>2</v>
      </c>
      <c r="D89" s="7" t="s">
        <v>3</v>
      </c>
      <c r="E89" s="5" t="s">
        <v>4</v>
      </c>
      <c r="F89" s="5" t="s">
        <v>5</v>
      </c>
      <c r="G89" s="5" t="s">
        <v>6</v>
      </c>
      <c r="H89" s="7" t="s">
        <v>7</v>
      </c>
    </row>
    <row r="90" spans="1:10" ht="29.25" customHeight="1">
      <c r="A90" s="9">
        <v>1</v>
      </c>
      <c r="B90" s="8" t="s">
        <v>23</v>
      </c>
      <c r="C90" s="12">
        <v>11302934</v>
      </c>
      <c r="D90" s="11">
        <v>2560932</v>
      </c>
      <c r="E90" s="10">
        <f>20757+283899+8592+14300+8180</f>
        <v>335728</v>
      </c>
      <c r="F90" s="10">
        <f>292716+22080</f>
        <v>314796</v>
      </c>
      <c r="G90" s="10">
        <f>1315+15487+20682+274606</f>
        <v>312090</v>
      </c>
      <c r="H90" s="3">
        <f>SUM(D90:G90)</f>
        <v>3523546</v>
      </c>
      <c r="I90" s="12"/>
      <c r="J90" s="9"/>
    </row>
    <row r="91" spans="1:10" ht="30">
      <c r="A91" s="9">
        <v>2</v>
      </c>
      <c r="B91" s="8" t="s">
        <v>19</v>
      </c>
      <c r="C91" s="12">
        <v>5189211</v>
      </c>
      <c r="D91" s="11">
        <v>21522976</v>
      </c>
      <c r="E91" s="10">
        <f>225850+2288229+75198+33000+189000</f>
        <v>2811277</v>
      </c>
      <c r="F91" s="10">
        <f>2382613+222300</f>
        <v>2604913</v>
      </c>
      <c r="G91" s="10">
        <f>13692+143180+209908+2255141</f>
        <v>2621921</v>
      </c>
      <c r="H91" s="3">
        <f>SUM(D91:G91)</f>
        <v>29561087</v>
      </c>
      <c r="I91" s="12"/>
      <c r="J91" s="9"/>
    </row>
    <row r="92" spans="1:10" ht="30">
      <c r="A92" s="9">
        <v>3</v>
      </c>
      <c r="B92" s="8" t="s">
        <v>24</v>
      </c>
      <c r="C92" s="12">
        <v>4548538</v>
      </c>
      <c r="D92" s="11">
        <v>37630317</v>
      </c>
      <c r="E92" s="10">
        <f>324078+16436+129730+341804+4145494</f>
        <v>4957542</v>
      </c>
      <c r="F92" s="10">
        <f>4222616+357768</f>
        <v>4580384</v>
      </c>
      <c r="G92" s="10">
        <f>21790+249944+343203+3936716</f>
        <v>4551653</v>
      </c>
      <c r="H92" s="3">
        <f>SUM(D92:G92)</f>
        <v>51719896</v>
      </c>
      <c r="I92" s="12"/>
      <c r="J92" s="9"/>
    </row>
    <row r="93" spans="1:10">
      <c r="A93" s="9">
        <v>4</v>
      </c>
      <c r="B93" s="12" t="s">
        <v>16</v>
      </c>
      <c r="C93" s="12">
        <v>2491516</v>
      </c>
      <c r="D93" s="11">
        <v>7844051</v>
      </c>
      <c r="E93" s="10">
        <f>54000+815613+24393+55500</f>
        <v>949506</v>
      </c>
      <c r="F93" s="10">
        <f>56800+854053</f>
        <v>910853</v>
      </c>
      <c r="G93" s="10">
        <f>51085+2661+52339+806594</f>
        <v>912679</v>
      </c>
      <c r="H93" s="3">
        <f>SUM(D93:G93)</f>
        <v>10617089</v>
      </c>
      <c r="I93" s="12"/>
      <c r="J93" s="9"/>
    </row>
    <row r="94" spans="1:10" ht="30">
      <c r="A94" s="9">
        <v>5</v>
      </c>
      <c r="B94" s="8" t="s">
        <v>15</v>
      </c>
      <c r="C94" s="12">
        <v>2487647</v>
      </c>
      <c r="D94" s="11">
        <v>28554684</v>
      </c>
      <c r="E94" s="10">
        <f>159004+3003990+97001+161071</f>
        <v>3421066</v>
      </c>
      <c r="F94" s="10">
        <f>160831+3078600</f>
        <v>3239431</v>
      </c>
      <c r="G94" s="10">
        <f>1373+182078+8087+2867798+127378+21627</f>
        <v>3208341</v>
      </c>
      <c r="H94" s="3">
        <f>SUM(D94:G94)</f>
        <v>38423522</v>
      </c>
      <c r="I94" s="12"/>
      <c r="J94" s="9"/>
    </row>
    <row r="95" spans="1:10" ht="30">
      <c r="A95" s="9">
        <v>6</v>
      </c>
      <c r="B95" s="8" t="s">
        <v>13</v>
      </c>
      <c r="C95" s="12">
        <v>4663448</v>
      </c>
      <c r="D95" s="11">
        <v>109275282</v>
      </c>
      <c r="E95" s="10">
        <f>1056910+11818509+296534+1122945</f>
        <v>14294898</v>
      </c>
      <c r="F95" s="10">
        <f>11872510+1157400</f>
        <v>13029910</v>
      </c>
      <c r="G95" s="10">
        <f>69713+706732+379+1098347+11136963</f>
        <v>13012134</v>
      </c>
      <c r="H95" s="3">
        <f>SUM(D95:G95)</f>
        <v>149612224</v>
      </c>
      <c r="I95" s="12"/>
      <c r="J95" s="9"/>
    </row>
    <row r="96" spans="1:10" ht="30">
      <c r="A96" s="9">
        <v>7</v>
      </c>
      <c r="B96" s="8" t="s">
        <v>8</v>
      </c>
      <c r="C96" s="12">
        <v>4483447</v>
      </c>
      <c r="D96" s="11">
        <v>91187242</v>
      </c>
      <c r="E96" s="10">
        <f>542585+9716960+319078+679872</f>
        <v>11258495</v>
      </c>
      <c r="F96" s="10">
        <f>662822+10152255</f>
        <v>10815077</v>
      </c>
      <c r="G96" s="10">
        <f>604823+39011+9526224+614444</f>
        <v>10784502</v>
      </c>
      <c r="H96" s="3">
        <f>SUM(D96:G96)</f>
        <v>124045316</v>
      </c>
      <c r="I96" s="12"/>
      <c r="J96" s="9"/>
    </row>
    <row r="97" spans="1:10">
      <c r="A97" s="9">
        <v>8</v>
      </c>
      <c r="B97" s="12" t="s">
        <v>25</v>
      </c>
      <c r="C97" s="12">
        <v>4483811</v>
      </c>
      <c r="D97" s="11">
        <v>13858419</v>
      </c>
      <c r="E97" s="10">
        <f>99100+1515260+43621+101172</f>
        <v>1759153</v>
      </c>
      <c r="F97" s="10">
        <f>1568178+104309</f>
        <v>1672487</v>
      </c>
      <c r="G97" s="10">
        <f>5626+93186+96345+1467733</f>
        <v>1662890</v>
      </c>
      <c r="H97" s="3">
        <f>SUM(D97:G97)</f>
        <v>18952949</v>
      </c>
      <c r="I97" s="12"/>
      <c r="J97" s="9"/>
    </row>
    <row r="98" spans="1:10" ht="30">
      <c r="A98" s="9">
        <v>9</v>
      </c>
      <c r="B98" s="8" t="s">
        <v>22</v>
      </c>
      <c r="C98" s="12">
        <v>5189300</v>
      </c>
      <c r="D98" s="11">
        <v>15013106</v>
      </c>
      <c r="E98" s="10">
        <f>100100+1686710+51087+100457</f>
        <v>1938354</v>
      </c>
      <c r="F98" s="10">
        <f>202172+1684079</f>
        <v>1886251</v>
      </c>
      <c r="G98" s="10">
        <f>107253+6140+1689290+96713</f>
        <v>1899396</v>
      </c>
      <c r="H98" s="3">
        <f>SUM(D98:G98)</f>
        <v>20737107</v>
      </c>
      <c r="I98" s="12"/>
      <c r="J98" s="9"/>
    </row>
    <row r="99" spans="1:10">
      <c r="A99" s="9">
        <v>10</v>
      </c>
      <c r="B99" s="12" t="s">
        <v>17</v>
      </c>
      <c r="C99" s="12">
        <v>2502771</v>
      </c>
      <c r="D99" s="11">
        <v>10680689</v>
      </c>
      <c r="E99" s="10">
        <f>53731+1125558+34301+57546</f>
        <v>1271136</v>
      </c>
      <c r="F99" s="10">
        <f>1161920+58093</f>
        <v>1220013</v>
      </c>
      <c r="G99" s="10">
        <f>3580+71181+56392+1099475</f>
        <v>1230628</v>
      </c>
      <c r="H99" s="3">
        <f>SUM(D99:G99)</f>
        <v>14402466</v>
      </c>
      <c r="I99" s="12"/>
      <c r="J99" s="9"/>
    </row>
    <row r="100" spans="1:10" ht="30">
      <c r="A100" s="9">
        <v>11</v>
      </c>
      <c r="B100" s="8" t="s">
        <v>21</v>
      </c>
      <c r="C100" s="12">
        <v>2501652</v>
      </c>
      <c r="D100" s="11">
        <v>18082730</v>
      </c>
      <c r="E100" s="10">
        <f>142019+1859044+60445+148606</f>
        <v>2210114</v>
      </c>
      <c r="F100" s="10">
        <f>1882984+151036</f>
        <v>2034020</v>
      </c>
      <c r="G100" s="10">
        <f>112764+9310+1776094+141383</f>
        <v>2039551</v>
      </c>
      <c r="H100" s="3">
        <f>SUM(D100:G100)</f>
        <v>24366415</v>
      </c>
      <c r="I100" s="12"/>
      <c r="J100" s="9"/>
    </row>
    <row r="101" spans="1:10">
      <c r="A101" s="9">
        <v>12</v>
      </c>
      <c r="B101" s="12" t="s">
        <v>26</v>
      </c>
      <c r="C101" s="12">
        <v>2503408</v>
      </c>
      <c r="D101" s="11">
        <v>4552510</v>
      </c>
      <c r="E101" s="10">
        <f>42965+470880+15327+45218</f>
        <v>574390</v>
      </c>
      <c r="F101" s="10">
        <f>505280+45578</f>
        <v>550858</v>
      </c>
      <c r="G101" s="10">
        <f>1052+29080+809+1764+16570+458022+12737+27787</f>
        <v>547821</v>
      </c>
      <c r="H101" s="3">
        <f>SUM(D101:G101)</f>
        <v>6225579</v>
      </c>
      <c r="I101" s="12"/>
      <c r="J101" s="9"/>
    </row>
    <row r="102" spans="1:10">
      <c r="A102" s="9">
        <v>13</v>
      </c>
      <c r="B102" s="12" t="s">
        <v>27</v>
      </c>
      <c r="C102" s="12">
        <v>4663456</v>
      </c>
      <c r="D102" s="11">
        <v>7654806</v>
      </c>
      <c r="E102" s="10">
        <f>42166+798881+24627+65246</f>
        <v>930920</v>
      </c>
      <c r="F102" s="10">
        <f>55834+823625</f>
        <v>879459</v>
      </c>
      <c r="G102" s="10">
        <f>48779+3404+53629+768292</f>
        <v>874104</v>
      </c>
      <c r="H102" s="3">
        <f>SUM(D102:G102)</f>
        <v>10339289</v>
      </c>
      <c r="I102" s="12"/>
      <c r="J102" s="9"/>
    </row>
    <row r="103" spans="1:10">
      <c r="A103" s="9">
        <v>14</v>
      </c>
      <c r="B103" s="12" t="s">
        <v>28</v>
      </c>
      <c r="C103" s="12">
        <v>4483765</v>
      </c>
      <c r="D103" s="11">
        <v>7851211</v>
      </c>
      <c r="E103" s="10">
        <f>56056+852264+27695+69666</f>
        <v>1005681</v>
      </c>
      <c r="F103" s="10">
        <f>869652+65752</f>
        <v>935404</v>
      </c>
      <c r="G103" s="10">
        <f>51637+3825+60253+813315</f>
        <v>929030</v>
      </c>
      <c r="H103" s="3">
        <f>SUM(D103:G103)</f>
        <v>10721326</v>
      </c>
      <c r="I103" s="12"/>
      <c r="J10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 curenta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2024-02-06T10:09:11Z</dcterms:modified>
</cp:coreProperties>
</file>